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2" windowWidth="20112" windowHeight="7968"/>
  </bookViews>
  <sheets>
    <sheet name="Lead schedule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27" i="1"/>
  <c r="I26"/>
  <c r="I25"/>
  <c r="I24"/>
  <c r="I23"/>
  <c r="I22"/>
  <c r="I21"/>
  <c r="I20"/>
  <c r="I19"/>
  <c r="I18"/>
  <c r="I17"/>
  <c r="I16"/>
  <c r="I15"/>
  <c r="I14"/>
  <c r="I13"/>
  <c r="I12"/>
  <c r="F12"/>
  <c r="F13"/>
  <c r="G13" s="1"/>
  <c r="F14"/>
  <c r="F15"/>
  <c r="G15" s="1"/>
  <c r="F16"/>
  <c r="F17"/>
  <c r="G17" s="1"/>
  <c r="F18"/>
  <c r="F19"/>
  <c r="F20"/>
  <c r="F21"/>
  <c r="F22"/>
  <c r="F23"/>
  <c r="F24"/>
  <c r="F25"/>
  <c r="G25" s="1"/>
  <c r="F26"/>
  <c r="G23"/>
  <c r="C27"/>
  <c r="G26"/>
  <c r="G24"/>
  <c r="G22"/>
  <c r="G20"/>
  <c r="G18"/>
  <c r="G16"/>
  <c r="G14"/>
  <c r="F27" l="1"/>
  <c r="I27"/>
  <c r="G21"/>
  <c r="G12"/>
  <c r="G19"/>
  <c r="E27" l="1"/>
  <c r="G27" s="1"/>
</calcChain>
</file>

<file path=xl/sharedStrings.xml><?xml version="1.0" encoding="utf-8"?>
<sst xmlns="http://schemas.openxmlformats.org/spreadsheetml/2006/main" count="78" uniqueCount="68">
  <si>
    <t>Financial statement balances</t>
  </si>
  <si>
    <t>Explanations obtained</t>
  </si>
  <si>
    <t>Item</t>
  </si>
  <si>
    <t>Current year Actual</t>
  </si>
  <si>
    <t>Adjustments</t>
  </si>
  <si>
    <t>Current year Final</t>
  </si>
  <si>
    <t>Budgeted Amount</t>
  </si>
  <si>
    <t>Difference between Budget and Actual</t>
  </si>
  <si>
    <t>Prior year Actual</t>
  </si>
  <si>
    <t>Difference between Current and Prior Year Actual</t>
  </si>
  <si>
    <t>%</t>
  </si>
  <si>
    <t>250301</t>
  </si>
  <si>
    <t>Leave travel</t>
  </si>
  <si>
    <t>250302</t>
  </si>
  <si>
    <t>Moving expenses</t>
  </si>
  <si>
    <t>250303</t>
  </si>
  <si>
    <t>Uniforms</t>
  </si>
  <si>
    <t>Medical and Dental Refunds</t>
  </si>
  <si>
    <t>250306</t>
  </si>
  <si>
    <t>Hotel Accomodation</t>
  </si>
  <si>
    <t>250309</t>
  </si>
  <si>
    <t>Housing</t>
  </si>
  <si>
    <t>250311</t>
  </si>
  <si>
    <t>Per Diems-Domestic</t>
  </si>
  <si>
    <t>250313</t>
  </si>
  <si>
    <t>Extra Duty</t>
  </si>
  <si>
    <t>250316</t>
  </si>
  <si>
    <t>Outfit clothes</t>
  </si>
  <si>
    <t>250317</t>
  </si>
  <si>
    <t>Training-Domestic</t>
  </si>
  <si>
    <t>250318</t>
  </si>
  <si>
    <t>Training-Foreign</t>
  </si>
  <si>
    <t>250320</t>
  </si>
  <si>
    <t>Utilities</t>
  </si>
  <si>
    <t>250323</t>
  </si>
  <si>
    <t>Sitting</t>
  </si>
  <si>
    <t>250324</t>
  </si>
  <si>
    <t>Acting</t>
  </si>
  <si>
    <t>250334</t>
  </si>
  <si>
    <t>Per Diems-Foregn</t>
  </si>
  <si>
    <t>TOTAL</t>
  </si>
  <si>
    <t>$</t>
  </si>
  <si>
    <t xml:space="preserve">Code </t>
  </si>
  <si>
    <t>Description</t>
  </si>
  <si>
    <t>Auditee:</t>
  </si>
  <si>
    <t>Ministry of Education</t>
  </si>
  <si>
    <t>Reviewed by:</t>
  </si>
  <si>
    <t>Name</t>
  </si>
  <si>
    <t>Rank</t>
  </si>
  <si>
    <t>Date</t>
  </si>
  <si>
    <t>Period end:</t>
  </si>
  <si>
    <t>Level 1</t>
  </si>
  <si>
    <t>E Tiluna</t>
  </si>
  <si>
    <t>Team Leader</t>
  </si>
  <si>
    <t>Prepared by:</t>
  </si>
  <si>
    <t>Level 2</t>
  </si>
  <si>
    <t>Rank:</t>
  </si>
  <si>
    <t>Level 3</t>
  </si>
  <si>
    <t>Date:</t>
  </si>
  <si>
    <t>G Morgana</t>
  </si>
  <si>
    <t>Auditor I</t>
  </si>
  <si>
    <t>Training events have been postponed</t>
  </si>
  <si>
    <t>Amounts are very small - not followed-up</t>
  </si>
  <si>
    <t>Less due to training events postponed</t>
  </si>
  <si>
    <t>31 June 20xx1</t>
  </si>
  <si>
    <t>DPF 1.6  LEAD SCHEDULE ON COMPONENT LEVEL - ALLOWANCES</t>
  </si>
  <si>
    <t>15-07- 2xx1</t>
  </si>
  <si>
    <t>25-07-2xx1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</si>
</sst>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>
      <alignment vertical="top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2" fillId="23" borderId="8" applyNumberFormat="0" applyAlignment="0" applyProtection="0"/>
    <xf numFmtId="0" fontId="12" fillId="23" borderId="8" applyNumberFormat="0" applyAlignment="0" applyProtection="0"/>
    <xf numFmtId="0" fontId="12" fillId="23" borderId="8" applyNumberFormat="0" applyAlignment="0" applyProtection="0"/>
    <xf numFmtId="43" fontId="7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" borderId="7" applyNumberFormat="0" applyAlignment="0" applyProtection="0"/>
    <xf numFmtId="0" fontId="18" fillId="2" borderId="7" applyNumberFormat="0" applyAlignment="0" applyProtection="0"/>
    <xf numFmtId="0" fontId="18" fillId="2" borderId="7" applyNumberFormat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7" fillId="6" borderId="13" applyNumberFormat="0" applyFont="0" applyAlignment="0" applyProtection="0"/>
    <xf numFmtId="0" fontId="7" fillId="6" borderId="13" applyNumberFormat="0" applyFont="0" applyAlignment="0" applyProtection="0"/>
    <xf numFmtId="0" fontId="7" fillId="6" borderId="13" applyNumberFormat="0" applyFont="0" applyAlignment="0" applyProtection="0"/>
    <xf numFmtId="0" fontId="21" fillId="10" borderId="14" applyNumberFormat="0" applyAlignment="0" applyProtection="0"/>
    <xf numFmtId="0" fontId="21" fillId="10" borderId="14" applyNumberFormat="0" applyAlignment="0" applyProtection="0"/>
    <xf numFmtId="0" fontId="21" fillId="10" borderId="14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1">
    <xf numFmtId="0" fontId="0" fillId="0" borderId="0" xfId="0"/>
    <xf numFmtId="39" fontId="5" fillId="0" borderId="1" xfId="3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3" fontId="2" fillId="0" borderId="1" xfId="1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3" fontId="3" fillId="0" borderId="0" xfId="1" applyNumberFormat="1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quotePrefix="1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vertical="top"/>
    </xf>
    <xf numFmtId="43" fontId="3" fillId="0" borderId="1" xfId="1" applyNumberFormat="1" applyFont="1" applyBorder="1" applyAlignment="1">
      <alignment horizontal="center" vertical="top" wrapText="1"/>
    </xf>
    <xf numFmtId="9" fontId="3" fillId="0" borderId="1" xfId="2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left" vertical="top"/>
    </xf>
    <xf numFmtId="164" fontId="3" fillId="0" borderId="1" xfId="1" applyNumberFormat="1" applyFont="1" applyBorder="1" applyAlignment="1">
      <alignment vertical="top"/>
    </xf>
    <xf numFmtId="43" fontId="3" fillId="0" borderId="1" xfId="1" applyNumberFormat="1" applyFont="1" applyBorder="1" applyAlignment="1">
      <alignment vertical="top"/>
    </xf>
    <xf numFmtId="9" fontId="3" fillId="24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4" fontId="2" fillId="0" borderId="5" xfId="1" applyNumberFormat="1" applyFont="1" applyBorder="1" applyAlignment="1">
      <alignment vertical="top"/>
    </xf>
    <xf numFmtId="164" fontId="2" fillId="0" borderId="5" xfId="1" applyNumberFormat="1" applyFont="1" applyBorder="1" applyAlignment="1">
      <alignment vertical="top"/>
    </xf>
    <xf numFmtId="43" fontId="2" fillId="0" borderId="5" xfId="1" applyNumberFormat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43" fontId="3" fillId="0" borderId="1" xfId="130" applyNumberFormat="1" applyFont="1" applyBorder="1" applyAlignment="1">
      <alignment horizontal="center" wrapText="1"/>
    </xf>
    <xf numFmtId="43" fontId="3" fillId="0" borderId="1" xfId="130" applyNumberFormat="1" applyFont="1" applyBorder="1"/>
    <xf numFmtId="9" fontId="2" fillId="0" borderId="5" xfId="2" applyFont="1" applyBorder="1" applyAlignment="1">
      <alignment horizontal="center" vertical="top" wrapText="1"/>
    </xf>
    <xf numFmtId="9" fontId="2" fillId="0" borderId="5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16" xfId="0" applyBorder="1" applyAlignment="1">
      <alignment vertical="top" wrapText="1"/>
    </xf>
  </cellXfs>
  <cellStyles count="131">
    <cellStyle name="20% - Accent1 2" xfId="4"/>
    <cellStyle name="20% - Accent1 3" xfId="5"/>
    <cellStyle name="20% - Accent1 4" xfId="6"/>
    <cellStyle name="20% - Accent2 2" xfId="7"/>
    <cellStyle name="20% - Accent2 3" xfId="8"/>
    <cellStyle name="20% - Accent2 4" xfId="9"/>
    <cellStyle name="20% - Accent3 2" xfId="10"/>
    <cellStyle name="20% - Accent3 3" xfId="11"/>
    <cellStyle name="20% - Accent3 4" xfId="12"/>
    <cellStyle name="20% - Accent4 2" xfId="13"/>
    <cellStyle name="20% - Accent4 3" xfId="14"/>
    <cellStyle name="20% - Accent4 4" xfId="15"/>
    <cellStyle name="20% - Accent5 2" xfId="16"/>
    <cellStyle name="20% - Accent5 3" xfId="17"/>
    <cellStyle name="20% - Accent5 4" xfId="18"/>
    <cellStyle name="20% - Accent6 2" xfId="19"/>
    <cellStyle name="20% - Accent6 3" xfId="20"/>
    <cellStyle name="20% - Accent6 4" xfId="21"/>
    <cellStyle name="40% - Accent1 2" xfId="22"/>
    <cellStyle name="40% - Accent1 3" xfId="23"/>
    <cellStyle name="40% - Accent1 4" xfId="24"/>
    <cellStyle name="40% - Accent2 2" xfId="25"/>
    <cellStyle name="40% - Accent2 3" xfId="26"/>
    <cellStyle name="40% - Accent2 4" xfId="27"/>
    <cellStyle name="40% - Accent3 2" xfId="28"/>
    <cellStyle name="40% - Accent3 3" xfId="29"/>
    <cellStyle name="40% - Accent3 4" xfId="30"/>
    <cellStyle name="40% - Accent4 2" xfId="31"/>
    <cellStyle name="40% - Accent4 3" xfId="32"/>
    <cellStyle name="40% - Accent4 4" xfId="33"/>
    <cellStyle name="40% - Accent5 2" xfId="34"/>
    <cellStyle name="40% - Accent5 3" xfId="35"/>
    <cellStyle name="40% - Accent5 4" xfId="36"/>
    <cellStyle name="40% - Accent6 2" xfId="37"/>
    <cellStyle name="40% - Accent6 3" xfId="38"/>
    <cellStyle name="40% - Accent6 4" xfId="39"/>
    <cellStyle name="60% - Accent1 2" xfId="40"/>
    <cellStyle name="60% - Accent1 3" xfId="41"/>
    <cellStyle name="60% - Accent1 4" xfId="42"/>
    <cellStyle name="60% - Accent2 2" xfId="43"/>
    <cellStyle name="60% - Accent2 3" xfId="44"/>
    <cellStyle name="60% - Accent2 4" xfId="45"/>
    <cellStyle name="60% - Accent3 2" xfId="46"/>
    <cellStyle name="60% - Accent3 3" xfId="47"/>
    <cellStyle name="60% - Accent3 4" xfId="48"/>
    <cellStyle name="60% - Accent4 2" xfId="49"/>
    <cellStyle name="60% - Accent4 3" xfId="50"/>
    <cellStyle name="60% - Accent4 4" xfId="51"/>
    <cellStyle name="60% - Accent5 2" xfId="52"/>
    <cellStyle name="60% - Accent5 3" xfId="53"/>
    <cellStyle name="60% - Accent5 4" xfId="54"/>
    <cellStyle name="60% - Accent6 2" xfId="55"/>
    <cellStyle name="60% - Accent6 3" xfId="56"/>
    <cellStyle name="60% - Accent6 4" xfId="57"/>
    <cellStyle name="Accent1 2" xfId="58"/>
    <cellStyle name="Accent1 3" xfId="59"/>
    <cellStyle name="Accent1 4" xfId="60"/>
    <cellStyle name="Accent2 2" xfId="61"/>
    <cellStyle name="Accent2 3" xfId="62"/>
    <cellStyle name="Accent2 4" xfId="63"/>
    <cellStyle name="Accent3 2" xfId="64"/>
    <cellStyle name="Accent3 3" xfId="65"/>
    <cellStyle name="Accent3 4" xfId="66"/>
    <cellStyle name="Accent4 2" xfId="67"/>
    <cellStyle name="Accent4 3" xfId="68"/>
    <cellStyle name="Accent4 4" xfId="69"/>
    <cellStyle name="Accent5 2" xfId="70"/>
    <cellStyle name="Accent5 3" xfId="71"/>
    <cellStyle name="Accent5 4" xfId="72"/>
    <cellStyle name="Accent6 2" xfId="73"/>
    <cellStyle name="Accent6 3" xfId="74"/>
    <cellStyle name="Accent6 4" xfId="75"/>
    <cellStyle name="Bad 2" xfId="76"/>
    <cellStyle name="Bad 3" xfId="77"/>
    <cellStyle name="Bad 4" xfId="78"/>
    <cellStyle name="Calculation 2" xfId="79"/>
    <cellStyle name="Calculation 3" xfId="80"/>
    <cellStyle name="Calculation 4" xfId="81"/>
    <cellStyle name="Check Cell 2" xfId="82"/>
    <cellStyle name="Check Cell 3" xfId="83"/>
    <cellStyle name="Check Cell 4" xfId="84"/>
    <cellStyle name="Comma" xfId="1" builtinId="3"/>
    <cellStyle name="Comma 2 2" xfId="85"/>
    <cellStyle name="Comma 2 3" xfId="129"/>
    <cellStyle name="Comma 3" xfId="128"/>
    <cellStyle name="Comma 3 3" xfId="130"/>
    <cellStyle name="Explanatory Text 2" xfId="86"/>
    <cellStyle name="Explanatory Text 3" xfId="87"/>
    <cellStyle name="Explanatory Text 4" xfId="88"/>
    <cellStyle name="Good 2" xfId="89"/>
    <cellStyle name="Good 3" xfId="90"/>
    <cellStyle name="Good 4" xfId="91"/>
    <cellStyle name="Heading 1 2" xfId="92"/>
    <cellStyle name="Heading 1 3" xfId="93"/>
    <cellStyle name="Heading 1 4" xfId="94"/>
    <cellStyle name="Heading 2 2" xfId="95"/>
    <cellStyle name="Heading 2 3" xfId="96"/>
    <cellStyle name="Heading 2 4" xfId="97"/>
    <cellStyle name="Heading 3 2" xfId="98"/>
    <cellStyle name="Heading 3 3" xfId="99"/>
    <cellStyle name="Heading 3 4" xfId="100"/>
    <cellStyle name="Heading 4 2" xfId="101"/>
    <cellStyle name="Heading 4 3" xfId="102"/>
    <cellStyle name="Heading 4 4" xfId="103"/>
    <cellStyle name="Input 2" xfId="104"/>
    <cellStyle name="Input 3" xfId="105"/>
    <cellStyle name="Input 4" xfId="106"/>
    <cellStyle name="Linked Cell 2" xfId="107"/>
    <cellStyle name="Linked Cell 3" xfId="108"/>
    <cellStyle name="Linked Cell 4" xfId="109"/>
    <cellStyle name="Neutral 2" xfId="110"/>
    <cellStyle name="Neutral 3" xfId="111"/>
    <cellStyle name="Neutral 4" xfId="112"/>
    <cellStyle name="Normal" xfId="0" builtinId="0"/>
    <cellStyle name="Normal_Sheet1" xfId="3"/>
    <cellStyle name="Note 2" xfId="113"/>
    <cellStyle name="Note 3" xfId="114"/>
    <cellStyle name="Note 4" xfId="115"/>
    <cellStyle name="Output 2" xfId="116"/>
    <cellStyle name="Output 3" xfId="117"/>
    <cellStyle name="Output 4" xfId="118"/>
    <cellStyle name="Percent" xfId="2" builtinId="5"/>
    <cellStyle name="Title 2" xfId="119"/>
    <cellStyle name="Title 3" xfId="120"/>
    <cellStyle name="Title 4" xfId="121"/>
    <cellStyle name="Total 2" xfId="122"/>
    <cellStyle name="Total 3" xfId="123"/>
    <cellStyle name="Total 4" xfId="124"/>
    <cellStyle name="Warning Text 2" xfId="125"/>
    <cellStyle name="Warning Text 3" xfId="126"/>
    <cellStyle name="Warning Text 4" xfId="1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8"/>
  <sheetViews>
    <sheetView showGridLines="0" tabSelected="1" view="pageLayout" zoomScaleNormal="100" workbookViewId="0">
      <selection activeCell="I5" sqref="I5"/>
    </sheetView>
  </sheetViews>
  <sheetFormatPr defaultColWidth="9.109375" defaultRowHeight="13.2"/>
  <cols>
    <col min="1" max="1" width="10.33203125" style="5" customWidth="1"/>
    <col min="2" max="2" width="23.5546875" style="5" customWidth="1"/>
    <col min="3" max="3" width="14" style="5" customWidth="1"/>
    <col min="4" max="4" width="12.6640625" style="5" customWidth="1"/>
    <col min="5" max="5" width="13.109375" style="5" customWidth="1"/>
    <col min="6" max="6" width="17" style="7" customWidth="1"/>
    <col min="7" max="7" width="17.5546875" style="5"/>
    <col min="8" max="8" width="15.44140625" style="7" customWidth="1"/>
    <col min="9" max="9" width="15.6640625" style="5" customWidth="1"/>
    <col min="10" max="10" width="14.33203125" style="5" customWidth="1"/>
    <col min="11" max="16384" width="9.109375" style="5"/>
  </cols>
  <sheetData>
    <row r="1" spans="1:10">
      <c r="A1" s="6" t="s">
        <v>65</v>
      </c>
    </row>
    <row r="3" spans="1:10">
      <c r="A3" s="2" t="s">
        <v>44</v>
      </c>
      <c r="B3" s="2" t="s">
        <v>45</v>
      </c>
      <c r="C3" s="2" t="s">
        <v>46</v>
      </c>
      <c r="D3" s="2" t="s">
        <v>47</v>
      </c>
      <c r="E3" s="2" t="s">
        <v>48</v>
      </c>
      <c r="F3" s="2" t="s">
        <v>49</v>
      </c>
    </row>
    <row r="4" spans="1:10" ht="26.4">
      <c r="A4" s="8" t="s">
        <v>50</v>
      </c>
      <c r="B4" s="8" t="s">
        <v>64</v>
      </c>
      <c r="C4" s="8" t="s">
        <v>51</v>
      </c>
      <c r="D4" s="8" t="s">
        <v>52</v>
      </c>
      <c r="E4" s="8" t="s">
        <v>53</v>
      </c>
      <c r="F4" s="9" t="s">
        <v>67</v>
      </c>
    </row>
    <row r="5" spans="1:10" ht="26.4">
      <c r="A5" s="8" t="s">
        <v>54</v>
      </c>
      <c r="B5" s="8" t="s">
        <v>59</v>
      </c>
      <c r="C5" s="8" t="s">
        <v>55</v>
      </c>
      <c r="D5" s="8"/>
      <c r="E5" s="8"/>
      <c r="F5" s="8"/>
    </row>
    <row r="6" spans="1:10">
      <c r="A6" s="8" t="s">
        <v>56</v>
      </c>
      <c r="B6" s="8" t="s">
        <v>60</v>
      </c>
      <c r="C6" s="8" t="s">
        <v>57</v>
      </c>
      <c r="D6" s="8"/>
      <c r="E6" s="8"/>
      <c r="F6" s="8"/>
    </row>
    <row r="7" spans="1:10">
      <c r="A7" s="8" t="s">
        <v>58</v>
      </c>
      <c r="B7" s="8" t="s">
        <v>66</v>
      </c>
      <c r="C7" s="8" t="s">
        <v>58</v>
      </c>
      <c r="D7" s="8"/>
      <c r="E7" s="8"/>
      <c r="F7" s="8"/>
    </row>
    <row r="9" spans="1:10">
      <c r="A9" s="37" t="s">
        <v>2</v>
      </c>
      <c r="B9" s="38"/>
      <c r="C9" s="34" t="s">
        <v>0</v>
      </c>
      <c r="D9" s="34"/>
      <c r="E9" s="34"/>
      <c r="F9" s="34"/>
      <c r="G9" s="34"/>
      <c r="H9" s="34"/>
      <c r="I9" s="34"/>
      <c r="J9" s="35" t="s">
        <v>1</v>
      </c>
    </row>
    <row r="10" spans="1:10" ht="62.25" customHeight="1">
      <c r="A10" s="39"/>
      <c r="B10" s="40"/>
      <c r="C10" s="2" t="s">
        <v>3</v>
      </c>
      <c r="D10" s="3" t="s">
        <v>4</v>
      </c>
      <c r="E10" s="2" t="s">
        <v>5</v>
      </c>
      <c r="F10" s="4" t="s">
        <v>6</v>
      </c>
      <c r="G10" s="2" t="s">
        <v>7</v>
      </c>
      <c r="H10" s="4" t="s">
        <v>8</v>
      </c>
      <c r="I10" s="2" t="s">
        <v>9</v>
      </c>
      <c r="J10" s="36"/>
    </row>
    <row r="11" spans="1:10">
      <c r="A11" s="10" t="s">
        <v>42</v>
      </c>
      <c r="B11" s="11" t="s">
        <v>43</v>
      </c>
      <c r="C11" s="12" t="s">
        <v>41</v>
      </c>
      <c r="D11" s="12" t="s">
        <v>41</v>
      </c>
      <c r="E11" s="12" t="s">
        <v>41</v>
      </c>
      <c r="F11" s="12" t="s">
        <v>41</v>
      </c>
      <c r="G11" s="2" t="s">
        <v>10</v>
      </c>
      <c r="H11" s="12" t="s">
        <v>41</v>
      </c>
      <c r="I11" s="2" t="s">
        <v>10</v>
      </c>
      <c r="J11" s="2"/>
    </row>
    <row r="12" spans="1:10">
      <c r="A12" s="13" t="s">
        <v>11</v>
      </c>
      <c r="B12" s="13" t="s">
        <v>12</v>
      </c>
      <c r="C12" s="1">
        <v>242.4752</v>
      </c>
      <c r="D12" s="2"/>
      <c r="E12" s="1">
        <v>242.4752</v>
      </c>
      <c r="F12" s="14">
        <f>265250000/1000000</f>
        <v>265.25</v>
      </c>
      <c r="G12" s="15">
        <f>(F12-E12)/F12</f>
        <v>8.5861639962299716E-2</v>
      </c>
      <c r="H12" s="28">
        <v>265.25</v>
      </c>
      <c r="I12" s="16">
        <f>(H12-C12)/H12</f>
        <v>8.5861639962299716E-2</v>
      </c>
      <c r="J12" s="2"/>
    </row>
    <row r="13" spans="1:10">
      <c r="A13" s="13" t="s">
        <v>13</v>
      </c>
      <c r="B13" s="13" t="s">
        <v>14</v>
      </c>
      <c r="C13" s="1">
        <v>292.69130000000001</v>
      </c>
      <c r="D13" s="2"/>
      <c r="E13" s="1">
        <v>292.69130000000001</v>
      </c>
      <c r="F13" s="14">
        <f>314670000/1000000</f>
        <v>314.67</v>
      </c>
      <c r="G13" s="15">
        <f t="shared" ref="G13:G27" si="0">(F13-E13)/F13</f>
        <v>6.984682365652907E-2</v>
      </c>
      <c r="H13" s="28">
        <v>314.67</v>
      </c>
      <c r="I13" s="16">
        <f t="shared" ref="I13:I27" si="1">(H13-C13)/H13</f>
        <v>6.984682365652907E-2</v>
      </c>
      <c r="J13" s="32"/>
    </row>
    <row r="14" spans="1:10" ht="39.6">
      <c r="A14" s="13" t="s">
        <v>15</v>
      </c>
      <c r="B14" s="13" t="s">
        <v>16</v>
      </c>
      <c r="C14" s="1">
        <v>14.05</v>
      </c>
      <c r="D14" s="2"/>
      <c r="E14" s="1">
        <v>14.05</v>
      </c>
      <c r="F14" s="14">
        <f>18200000/1000000</f>
        <v>18.2</v>
      </c>
      <c r="G14" s="15">
        <f t="shared" si="0"/>
        <v>0.22802197802197796</v>
      </c>
      <c r="H14" s="28">
        <v>18.2</v>
      </c>
      <c r="I14" s="16">
        <f t="shared" si="1"/>
        <v>0.22802197802197796</v>
      </c>
      <c r="J14" s="33" t="s">
        <v>62</v>
      </c>
    </row>
    <row r="15" spans="1:10" ht="39.6">
      <c r="A15" s="17">
        <v>250305</v>
      </c>
      <c r="B15" s="17" t="s">
        <v>17</v>
      </c>
      <c r="C15" s="1">
        <v>20.136320000000001</v>
      </c>
      <c r="D15" s="2"/>
      <c r="E15" s="1">
        <v>20.136320000000001</v>
      </c>
      <c r="F15" s="14">
        <f>44048300/1000000</f>
        <v>44.048299999999998</v>
      </c>
      <c r="G15" s="15">
        <f t="shared" si="0"/>
        <v>0.54285818067893643</v>
      </c>
      <c r="H15" s="28">
        <v>44.048299999999998</v>
      </c>
      <c r="I15" s="16">
        <f t="shared" si="1"/>
        <v>0.54285818067893643</v>
      </c>
      <c r="J15" s="33" t="s">
        <v>62</v>
      </c>
    </row>
    <row r="16" spans="1:10">
      <c r="A16" s="13" t="s">
        <v>18</v>
      </c>
      <c r="B16" s="13" t="s">
        <v>19</v>
      </c>
      <c r="C16" s="1">
        <v>1.575</v>
      </c>
      <c r="D16" s="2"/>
      <c r="E16" s="1">
        <v>1.575</v>
      </c>
      <c r="F16" s="14">
        <f>1575000/1000000</f>
        <v>1.575</v>
      </c>
      <c r="G16" s="15">
        <f t="shared" si="0"/>
        <v>0</v>
      </c>
      <c r="H16" s="28">
        <v>1.575</v>
      </c>
      <c r="I16" s="16">
        <f t="shared" si="1"/>
        <v>0</v>
      </c>
      <c r="J16" s="32"/>
    </row>
    <row r="17" spans="1:10" ht="39.6">
      <c r="A17" s="13" t="s">
        <v>20</v>
      </c>
      <c r="B17" s="13" t="s">
        <v>21</v>
      </c>
      <c r="C17" s="1">
        <v>70.58</v>
      </c>
      <c r="D17" s="2"/>
      <c r="E17" s="1">
        <v>70.58</v>
      </c>
      <c r="F17" s="14">
        <f>85035000/1000000</f>
        <v>85.034999999999997</v>
      </c>
      <c r="G17" s="15">
        <f t="shared" si="0"/>
        <v>0.16998882812959368</v>
      </c>
      <c r="H17" s="28">
        <v>85.034999999999997</v>
      </c>
      <c r="I17" s="16">
        <f t="shared" si="1"/>
        <v>0.16998882812959368</v>
      </c>
      <c r="J17" s="33" t="s">
        <v>62</v>
      </c>
    </row>
    <row r="18" spans="1:10" ht="39.6">
      <c r="A18" s="13" t="s">
        <v>22</v>
      </c>
      <c r="B18" s="13" t="s">
        <v>23</v>
      </c>
      <c r="C18" s="1">
        <v>8327.6299999999992</v>
      </c>
      <c r="D18" s="2"/>
      <c r="E18" s="1">
        <v>8327.6299999999992</v>
      </c>
      <c r="F18" s="14">
        <f>9499904960/1000000</f>
        <v>9499.9049599999998</v>
      </c>
      <c r="G18" s="15">
        <f t="shared" si="0"/>
        <v>0.12339859871608659</v>
      </c>
      <c r="H18" s="28">
        <v>9499.9049599999998</v>
      </c>
      <c r="I18" s="16">
        <f t="shared" si="1"/>
        <v>0.12339859871608659</v>
      </c>
      <c r="J18" s="33" t="s">
        <v>63</v>
      </c>
    </row>
    <row r="19" spans="1:10">
      <c r="A19" s="13" t="s">
        <v>24</v>
      </c>
      <c r="B19" s="13" t="s">
        <v>25</v>
      </c>
      <c r="C19" s="1">
        <v>607.11</v>
      </c>
      <c r="D19" s="2"/>
      <c r="E19" s="1">
        <v>607.11</v>
      </c>
      <c r="F19" s="14">
        <f>648168800/1000000</f>
        <v>648.16880000000003</v>
      </c>
      <c r="G19" s="15">
        <f t="shared" si="0"/>
        <v>6.3345844477549706E-2</v>
      </c>
      <c r="H19" s="28">
        <v>648.16880000000003</v>
      </c>
      <c r="I19" s="16">
        <f t="shared" si="1"/>
        <v>6.3345844477549706E-2</v>
      </c>
      <c r="J19" s="32"/>
    </row>
    <row r="20" spans="1:10" ht="39.6">
      <c r="A20" s="13" t="s">
        <v>26</v>
      </c>
      <c r="B20" s="13" t="s">
        <v>27</v>
      </c>
      <c r="C20" s="1">
        <v>3</v>
      </c>
      <c r="D20" s="2"/>
      <c r="E20" s="1">
        <v>3</v>
      </c>
      <c r="F20" s="14">
        <f>13500000/1000000</f>
        <v>13.5</v>
      </c>
      <c r="G20" s="15">
        <f t="shared" si="0"/>
        <v>0.77777777777777779</v>
      </c>
      <c r="H20" s="28">
        <v>13.5</v>
      </c>
      <c r="I20" s="16">
        <f t="shared" si="1"/>
        <v>0.77777777777777779</v>
      </c>
      <c r="J20" s="33" t="s">
        <v>62</v>
      </c>
    </row>
    <row r="21" spans="1:10" ht="39.6">
      <c r="A21" s="13" t="s">
        <v>28</v>
      </c>
      <c r="B21" s="13" t="s">
        <v>29</v>
      </c>
      <c r="C21" s="1">
        <v>7065.14</v>
      </c>
      <c r="D21" s="2"/>
      <c r="E21" s="1">
        <v>7065.14</v>
      </c>
      <c r="F21" s="14">
        <f>10989731300/1000000</f>
        <v>10989.731299999999</v>
      </c>
      <c r="G21" s="15">
        <f t="shared" si="0"/>
        <v>0.35711440005817063</v>
      </c>
      <c r="H21" s="28">
        <v>10989.731299999999</v>
      </c>
      <c r="I21" s="20">
        <f t="shared" si="1"/>
        <v>0.35711440005817063</v>
      </c>
      <c r="J21" s="33" t="s">
        <v>61</v>
      </c>
    </row>
    <row r="22" spans="1:10" ht="39.6">
      <c r="A22" s="13" t="s">
        <v>30</v>
      </c>
      <c r="B22" s="13" t="s">
        <v>31</v>
      </c>
      <c r="C22" s="1">
        <v>205</v>
      </c>
      <c r="D22" s="18"/>
      <c r="E22" s="1">
        <v>205</v>
      </c>
      <c r="F22" s="19">
        <f>1478100000/1000000</f>
        <v>1478.1</v>
      </c>
      <c r="G22" s="15">
        <f t="shared" si="0"/>
        <v>0.86130843650632571</v>
      </c>
      <c r="H22" s="29">
        <v>1478.1</v>
      </c>
      <c r="I22" s="20">
        <f t="shared" si="1"/>
        <v>0.86130843650632571</v>
      </c>
      <c r="J22" s="33" t="s">
        <v>61</v>
      </c>
    </row>
    <row r="23" spans="1:10">
      <c r="A23" s="13" t="s">
        <v>32</v>
      </c>
      <c r="B23" s="13" t="s">
        <v>33</v>
      </c>
      <c r="C23" s="1">
        <v>210.44</v>
      </c>
      <c r="D23" s="18"/>
      <c r="E23" s="1">
        <v>210.44</v>
      </c>
      <c r="F23" s="19">
        <f>228930000/1000000</f>
        <v>228.93</v>
      </c>
      <c r="G23" s="15">
        <f t="shared" si="0"/>
        <v>8.0767046695496475E-2</v>
      </c>
      <c r="H23" s="29">
        <v>228.93</v>
      </c>
      <c r="I23" s="16">
        <f t="shared" si="1"/>
        <v>8.0767046695496475E-2</v>
      </c>
      <c r="J23" s="21"/>
    </row>
    <row r="24" spans="1:10">
      <c r="A24" s="13" t="s">
        <v>34</v>
      </c>
      <c r="B24" s="13" t="s">
        <v>35</v>
      </c>
      <c r="C24" s="1">
        <v>55.84</v>
      </c>
      <c r="D24" s="18"/>
      <c r="E24" s="1">
        <v>55.84</v>
      </c>
      <c r="F24" s="19">
        <f>58167500/1000000</f>
        <v>58.167499999999997</v>
      </c>
      <c r="G24" s="15">
        <f t="shared" si="0"/>
        <v>4.0013753384621889E-2</v>
      </c>
      <c r="H24" s="29">
        <v>58.167499999999997</v>
      </c>
      <c r="I24" s="16">
        <f t="shared" si="1"/>
        <v>4.0013753384621889E-2</v>
      </c>
      <c r="J24" s="21"/>
    </row>
    <row r="25" spans="1:10">
      <c r="A25" s="13" t="s">
        <v>36</v>
      </c>
      <c r="B25" s="13" t="s">
        <v>37</v>
      </c>
      <c r="C25" s="1">
        <v>2.5</v>
      </c>
      <c r="D25" s="18"/>
      <c r="E25" s="1">
        <v>2.5</v>
      </c>
      <c r="F25" s="19">
        <f>2775000/1000000</f>
        <v>2.7749999999999999</v>
      </c>
      <c r="G25" s="15">
        <f t="shared" si="0"/>
        <v>9.9099099099099072E-2</v>
      </c>
      <c r="H25" s="29">
        <v>2.7749999999999999</v>
      </c>
      <c r="I25" s="16">
        <f t="shared" si="1"/>
        <v>9.9099099099099072E-2</v>
      </c>
      <c r="J25" s="21"/>
    </row>
    <row r="26" spans="1:10">
      <c r="A26" s="13" t="s">
        <v>38</v>
      </c>
      <c r="B26" s="13" t="s">
        <v>39</v>
      </c>
      <c r="C26" s="1">
        <v>1424.58</v>
      </c>
      <c r="D26" s="18"/>
      <c r="E26" s="1">
        <v>1424.58</v>
      </c>
      <c r="F26" s="19">
        <f>1382950000/1000000</f>
        <v>1382.95</v>
      </c>
      <c r="G26" s="15">
        <f t="shared" si="0"/>
        <v>-3.0102317509671267E-2</v>
      </c>
      <c r="H26" s="29">
        <v>1382.95</v>
      </c>
      <c r="I26" s="16">
        <f t="shared" si="1"/>
        <v>-3.0102317509671267E-2</v>
      </c>
      <c r="J26" s="21"/>
    </row>
    <row r="27" spans="1:10" s="6" customFormat="1" ht="13.8" thickBot="1">
      <c r="A27" s="22" t="s">
        <v>40</v>
      </c>
      <c r="B27" s="23"/>
      <c r="C27" s="24">
        <f>SUM(C12:C26)</f>
        <v>18542.747819999997</v>
      </c>
      <c r="D27" s="25"/>
      <c r="E27" s="24">
        <f>SUM(E12:E26)</f>
        <v>18542.747819999997</v>
      </c>
      <c r="F27" s="26">
        <f>SUM(F12:F26)</f>
        <v>25031.005859999997</v>
      </c>
      <c r="G27" s="30">
        <f t="shared" si="0"/>
        <v>0.25920884187751941</v>
      </c>
      <c r="H27" s="26">
        <f>SUM(H12:H26)</f>
        <v>25031.005859999997</v>
      </c>
      <c r="I27" s="31">
        <f t="shared" si="1"/>
        <v>0.25920884187751941</v>
      </c>
      <c r="J27" s="27"/>
    </row>
    <row r="28" spans="1:10" ht="13.8" thickTop="1"/>
  </sheetData>
  <mergeCells count="3">
    <mergeCell ref="C9:I9"/>
    <mergeCell ref="J9:J10"/>
    <mergeCell ref="A9:B10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headerFooter>
    <oddHeader>&amp;R&amp;"-,Bold"MODEL AUDIT FILE 2013
                                       DPF 1.6 LEAD SCHEDULE ON A COMPONENT LEVEL - ALLOWANCES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" sqref="C2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Lead schedule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</dc:creator>
  <cp:lastModifiedBy>EszterRapanos</cp:lastModifiedBy>
  <cp:lastPrinted>2011-03-14T11:12:09Z</cp:lastPrinted>
  <dcterms:created xsi:type="dcterms:W3CDTF">2011-02-23T08:06:45Z</dcterms:created>
  <dcterms:modified xsi:type="dcterms:W3CDTF">2013-11-22T07:59:24Z</dcterms:modified>
</cp:coreProperties>
</file>